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EstaPasta_de_trabalho" defaultThemeVersion="124226"/>
  <bookViews>
    <workbookView xWindow="0" yWindow="0" windowWidth="20490" windowHeight="7155" tabRatio="568"/>
  </bookViews>
  <sheets>
    <sheet name="RECAP 2020 - Parte II" sheetId="36" r:id="rId1"/>
    <sheet name="Plan2" sheetId="34" r:id="rId2"/>
  </sheets>
  <definedNames>
    <definedName name="_xlnm.Print_Area" localSheetId="0">'RECAP 2020 - Parte II'!$A$1:$J$33</definedName>
  </definedNames>
  <calcPr calcId="145621"/>
</workbook>
</file>

<file path=xl/calcChain.xml><?xml version="1.0" encoding="utf-8"?>
<calcChain xmlns="http://schemas.openxmlformats.org/spreadsheetml/2006/main">
  <c r="G21" i="36" l="1"/>
  <c r="G20" i="36"/>
  <c r="G19" i="36"/>
  <c r="G17" i="36"/>
  <c r="G16" i="36"/>
  <c r="G15" i="36"/>
  <c r="G13" i="36"/>
  <c r="G12" i="36"/>
  <c r="G11" i="36"/>
  <c r="G10" i="36"/>
  <c r="G9" i="36"/>
  <c r="G8" i="36"/>
  <c r="G7" i="36"/>
  <c r="H10" i="36" l="1"/>
  <c r="J10" i="36" s="1"/>
  <c r="I10" i="36"/>
  <c r="F9" i="36"/>
  <c r="F21" i="36" l="1"/>
  <c r="F20" i="36"/>
  <c r="F19" i="36"/>
  <c r="F18" i="36"/>
  <c r="F17" i="36"/>
  <c r="F16" i="36"/>
  <c r="F15" i="36"/>
  <c r="F11" i="36"/>
  <c r="F8" i="36" s="1"/>
  <c r="F12" i="36" s="1"/>
  <c r="F7" i="36"/>
  <c r="I22" i="36" l="1"/>
  <c r="I7" i="36"/>
  <c r="H7" i="36"/>
  <c r="J7" i="36" s="1"/>
  <c r="H22" i="36"/>
  <c r="J22" i="36" s="1"/>
  <c r="H21" i="36"/>
  <c r="H20" i="36"/>
  <c r="H19" i="36"/>
  <c r="H18" i="36"/>
  <c r="H17" i="36"/>
  <c r="H16" i="36"/>
  <c r="H15" i="36"/>
  <c r="H13" i="36"/>
  <c r="H12" i="36"/>
  <c r="H11" i="36"/>
  <c r="H9" i="36"/>
  <c r="H8" i="36"/>
  <c r="I18" i="36" l="1"/>
  <c r="J18" i="36"/>
  <c r="J21" i="36"/>
  <c r="I21" i="36"/>
  <c r="I17" i="36"/>
  <c r="J17" i="36"/>
  <c r="I15" i="36"/>
  <c r="J15" i="36"/>
  <c r="I19" i="36"/>
  <c r="J19" i="36"/>
  <c r="I20" i="36"/>
  <c r="J20" i="36"/>
  <c r="J9" i="36"/>
  <c r="I9" i="36"/>
  <c r="I16" i="36"/>
  <c r="J16" i="36"/>
  <c r="I11" i="36" l="1"/>
  <c r="J11" i="36"/>
  <c r="G38" i="36"/>
  <c r="J8" i="36" l="1"/>
  <c r="I8" i="36"/>
  <c r="I14" i="36"/>
  <c r="F13" i="36" l="1"/>
  <c r="I12" i="36"/>
  <c r="J12" i="36"/>
  <c r="E9" i="34"/>
  <c r="E8" i="34"/>
  <c r="E7" i="34"/>
  <c r="E6" i="34"/>
  <c r="E5" i="34"/>
  <c r="I13" i="36" l="1"/>
  <c r="I6" i="36" s="1"/>
  <c r="I23" i="36" s="1"/>
  <c r="J13" i="36"/>
  <c r="J6" i="36" s="1"/>
  <c r="J14" i="36"/>
  <c r="J23" i="36" l="1"/>
</calcChain>
</file>

<file path=xl/sharedStrings.xml><?xml version="1.0" encoding="utf-8"?>
<sst xmlns="http://schemas.openxmlformats.org/spreadsheetml/2006/main" count="97" uniqueCount="75">
  <si>
    <t>ITEM</t>
  </si>
  <si>
    <t>SERVIÇOS</t>
  </si>
  <si>
    <t>UNID.</t>
  </si>
  <si>
    <t>QUANT. A EXECUTAR</t>
  </si>
  <si>
    <t>TOTAL GERAL</t>
  </si>
  <si>
    <t>CÓDIGO</t>
  </si>
  <si>
    <t>FONTE</t>
  </si>
  <si>
    <t>PREÇO UNIT. SEM BDI</t>
  </si>
  <si>
    <t>PREÇO A EXECUTAR SEM BDI</t>
  </si>
  <si>
    <t>M</t>
  </si>
  <si>
    <t>M2</t>
  </si>
  <si>
    <t>M3</t>
  </si>
  <si>
    <t>Planilha Orçamentária</t>
  </si>
  <si>
    <t xml:space="preserve">               </t>
  </si>
  <si>
    <t>RODRIGO TEIXEIRA DE OLIVEIRA</t>
  </si>
  <si>
    <t xml:space="preserve">GERENTE DE INFRAESTRUTURA </t>
  </si>
  <si>
    <t>CREA 5062990258</t>
  </si>
  <si>
    <t>PREÇO UNIT. COM BDI 24,23%</t>
  </si>
  <si>
    <t>PREÇO A EXECUTAR COM BDI 24,23%</t>
  </si>
  <si>
    <t>REFORÇO DO SUB-LEITO (EXECUÇÃO, INCLUINDO ESCAVAÇÃO, CARGA, DESCARGA, HOMOGENIZAÇÃO, UMIDECIMENTO, ESPALHAMENTO E COMPACTAÇÃO DO MATERIAL)</t>
  </si>
  <si>
    <t>OBR-VIA-135</t>
  </si>
  <si>
    <t>CORTE MECAN. C/ SERRA CIRCULAR EM CONCRETO/ASFALTO</t>
  </si>
  <si>
    <t>02.12.01</t>
  </si>
  <si>
    <t>DEMOLIÇÃO DE REVESTIMENTO ASFÁLTICO COM EQUIPAMENTO PNEUMÁTICO, INCLUSIVE AFASTAMENTO</t>
  </si>
  <si>
    <t>DEM-PIS-070</t>
  </si>
  <si>
    <t>74010/001</t>
  </si>
  <si>
    <t>CARGA E DESCARGA MECANICA DE SOLO UTILIZANDO CAMINHAO BASCULANTE 6,0M3 /16T E PA CARREGADEIRA SOBRE PNEUS 128 HP, CAPACIDADE DA CAÇAMBA 1,7 A 2,8 M3, PESO OPERACIONAL 11632 KG</t>
  </si>
  <si>
    <t>TRANSPORTE COM CAMINHÃO BASCULANTE DE 6 M3, EM VIA URBANA PAVIMENTADA DMT ATÉ 30 KM</t>
  </si>
  <si>
    <t>M3XKM</t>
  </si>
  <si>
    <t>FRESAGEM</t>
  </si>
  <si>
    <t>20.20.01</t>
  </si>
  <si>
    <t>EXECUÇÃO E COMPACTAÇÃO DE BASE E OU SUB BASE COM PEDRA RACHÃO - EXCLUSIVE ESCAVAÇÃO, CARGA E TRANSPORTE</t>
  </si>
  <si>
    <t>EXECUÇÃO E COMPACTAÇÃO DE BASE E OU SUB BASE COM BRITA GRADUADA SIMPLES - EXCLUSIVE CARGA E TRANSPORTE</t>
  </si>
  <si>
    <t>IMPRIMAÇÃO (EXECUÇÃO, INCLUINDO FORNECIMENTO E TRANSPORTE DO MATERIAL BETUMINOSO)</t>
  </si>
  <si>
    <t>OBR-VIA-160</t>
  </si>
  <si>
    <t>TON.</t>
  </si>
  <si>
    <t>CONSTRUÇÃO DE PAVIMENTO COM APLICAÇÃO DE CBUQ, CAMADA DE ROLAMENTO, FAIXA C, COM CAP 50/70 - INCLUSIVE TRANSPORTE PARA OBRA</t>
  </si>
  <si>
    <t>20.13.05</t>
  </si>
  <si>
    <t>PAVIMENTAÇÃO</t>
  </si>
  <si>
    <t>M²</t>
  </si>
  <si>
    <t>DIA</t>
  </si>
  <si>
    <t>TOTAL</t>
  </si>
  <si>
    <t>PAV</t>
  </si>
  <si>
    <t>BASE</t>
  </si>
  <si>
    <t>RO-43273</t>
  </si>
  <si>
    <t>EXECUÇÃO DE FAIXA ELEVADA CONFORME RESOLUÇÃO 738 CONTRAN DE 06/09/18 - APLICAÇÃO DA MASSA ASFALTICA (EXECUÇÃO, INCLUINDO PINTURA DE LIGAÇÃO)</t>
  </si>
  <si>
    <t>1.1</t>
  </si>
  <si>
    <t>1.2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</si>
  <si>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</si>
  <si>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</si>
  <si>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</si>
  <si>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</si>
  <si>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</si>
  <si>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</si>
  <si>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</si>
  <si>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</si>
  <si>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</si>
  <si>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</si>
  <si>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2.7</t>
  </si>
  <si>
    <t>2.8</t>
  </si>
  <si>
    <t>FRESAGEM ATÉ 5,0 CM</t>
  </si>
  <si>
    <t>ESCAVAÇÃO, DEMOLIÇÃO, FRESAGEME E TRANSPORTE</t>
  </si>
  <si>
    <t>20.13.11</t>
  </si>
  <si>
    <t>CONSTRUÇÃO DE PAVIMENTO COM APLICAÇÃO DE CONCRETO BETUMINOSO USINADO A QUENTE (CBUQ), BINDER, COM ESPESSURA DE 5,0 CM - INCLUSIVE TRANSPORTE PARA OBRA</t>
  </si>
  <si>
    <t>ESCAVAÇÃO MECÂNICA, EM MATERIAL DE 1A CATEGORIA , COM ESCAVADEIRA HIDRAULICA</t>
  </si>
  <si>
    <t xml:space="preserve"> EXECUÇÃO DE IMPRIMAÇÃO LIGANTE (PINTURA DE LIGAÇÃO) COM EMULSÃO ASFÁLTICA RR-2C. AF_09/2017</t>
  </si>
  <si>
    <t>FRESAGEM DE 5 A 10 CM</t>
  </si>
  <si>
    <t>20.20.02</t>
  </si>
  <si>
    <t>1.7</t>
  </si>
  <si>
    <t>Data: 11/02/2020</t>
  </si>
  <si>
    <t>Base de Preços: SINAPI DEZ/19, SETOP NOV/19 E SUDECAP OUT/19</t>
  </si>
  <si>
    <t>OBRA:  Serviços de recomposição e manutenção asfáltica de vias do Município de Pouso Alegre - MG - (RECAP 2020 - Parte II)</t>
  </si>
  <si>
    <t>SINAPI - DEZ/19</t>
  </si>
  <si>
    <t>SETOP - NOV/19</t>
  </si>
  <si>
    <t>SUDECAP - OUT/19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</si>
</sst>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* #,##0.00_-;\-&quot;R$&quot;* #,##0.00_-;_-&quot;R$&quot;* &quot;-&quot;??_-;_-@_-"/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horizontal="center"/>
    </xf>
    <xf numFmtId="0" fontId="0" fillId="5" borderId="13" xfId="0" applyFill="1" applyBorder="1" applyAlignment="1">
      <alignment horizontal="center"/>
    </xf>
    <xf numFmtId="0" fontId="0" fillId="5" borderId="0" xfId="0" applyFill="1"/>
    <xf numFmtId="0" fontId="4" fillId="5" borderId="16" xfId="0" applyFont="1" applyFill="1" applyBorder="1" applyAlignment="1">
      <alignment horizontal="center" vertical="center"/>
    </xf>
    <xf numFmtId="0" fontId="0" fillId="5" borderId="17" xfId="0" applyFill="1" applyBorder="1"/>
    <xf numFmtId="0" fontId="4" fillId="5" borderId="21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/>
    </xf>
    <xf numFmtId="4" fontId="2" fillId="5" borderId="19" xfId="0" applyNumberFormat="1" applyFont="1" applyFill="1" applyBorder="1" applyAlignment="1">
      <alignment horizontal="right"/>
    </xf>
    <xf numFmtId="0" fontId="0" fillId="5" borderId="23" xfId="0" applyFill="1" applyBorder="1"/>
    <xf numFmtId="0" fontId="4" fillId="5" borderId="23" xfId="0" applyFont="1" applyFill="1" applyBorder="1" applyAlignment="1">
      <alignment horizontal="right"/>
    </xf>
    <xf numFmtId="4" fontId="2" fillId="5" borderId="23" xfId="0" applyNumberFormat="1" applyFont="1" applyFill="1" applyBorder="1" applyAlignment="1">
      <alignment horizontal="right"/>
    </xf>
    <xf numFmtId="0" fontId="0" fillId="5" borderId="1" xfId="0" applyFill="1" applyBorder="1" applyAlignment="1">
      <alignment horizontal="left"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4" fontId="0" fillId="4" borderId="1" xfId="0" applyNumberForma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43" fontId="4" fillId="0" borderId="0" xfId="1" applyFont="1"/>
    <xf numFmtId="0" fontId="7" fillId="0" borderId="0" xfId="0" applyFont="1"/>
    <xf numFmtId="0" fontId="7" fillId="0" borderId="0" xfId="0" applyFont="1" applyAlignment="1">
      <alignment horizontal="center"/>
    </xf>
    <xf numFmtId="43" fontId="7" fillId="0" borderId="0" xfId="1" applyFont="1" applyAlignment="1">
      <alignment horizontal="center"/>
    </xf>
    <xf numFmtId="43" fontId="7" fillId="0" borderId="0" xfId="1" applyFont="1" applyAlignment="1">
      <alignment horizontal="center"/>
    </xf>
    <xf numFmtId="43" fontId="7" fillId="0" borderId="0" xfId="0" applyNumberFormat="1" applyFont="1"/>
    <xf numFmtId="0" fontId="2" fillId="4" borderId="13" xfId="0" applyFont="1" applyFill="1" applyBorder="1" applyAlignment="1">
      <alignment horizontal="center"/>
    </xf>
    <xf numFmtId="0" fontId="8" fillId="5" borderId="13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 wrapText="1"/>
    </xf>
    <xf numFmtId="0" fontId="0" fillId="5" borderId="1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 wrapText="1"/>
    </xf>
    <xf numFmtId="4" fontId="0" fillId="5" borderId="1" xfId="0" applyNumberFormat="1" applyFill="1" applyBorder="1" applyAlignment="1">
      <alignment horizontal="center"/>
    </xf>
    <xf numFmtId="4" fontId="0" fillId="5" borderId="14" xfId="0" applyNumberFormat="1" applyFill="1" applyBorder="1" applyAlignment="1">
      <alignment horizontal="center"/>
    </xf>
    <xf numFmtId="2" fontId="0" fillId="5" borderId="1" xfId="2" applyNumberFormat="1" applyFon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4" fontId="2" fillId="4" borderId="1" xfId="0" applyNumberFormat="1" applyFont="1" applyFill="1" applyBorder="1" applyAlignment="1">
      <alignment horizontal="center"/>
    </xf>
    <xf numFmtId="4" fontId="2" fillId="4" borderId="14" xfId="0" applyNumberFormat="1" applyFont="1" applyFill="1" applyBorder="1" applyAlignment="1">
      <alignment horizontal="center"/>
    </xf>
    <xf numFmtId="4" fontId="2" fillId="2" borderId="27" xfId="0" applyNumberFormat="1" applyFont="1" applyFill="1" applyBorder="1" applyAlignment="1">
      <alignment horizontal="center"/>
    </xf>
    <xf numFmtId="4" fontId="2" fillId="2" borderId="26" xfId="0" applyNumberFormat="1" applyFont="1" applyFill="1" applyBorder="1" applyAlignment="1">
      <alignment horizontal="center"/>
    </xf>
    <xf numFmtId="0" fontId="9" fillId="5" borderId="13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 wrapText="1"/>
    </xf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center" wrapText="1"/>
    </xf>
    <xf numFmtId="2" fontId="10" fillId="5" borderId="1" xfId="2" applyNumberFormat="1" applyFont="1" applyFill="1" applyBorder="1" applyAlignment="1">
      <alignment horizontal="center"/>
    </xf>
    <xf numFmtId="4" fontId="10" fillId="5" borderId="1" xfId="0" applyNumberFormat="1" applyFont="1" applyFill="1" applyBorder="1" applyAlignment="1">
      <alignment horizontal="center"/>
    </xf>
    <xf numFmtId="4" fontId="10" fillId="5" borderId="14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0" fillId="5" borderId="17" xfId="0" applyFill="1" applyBorder="1" applyAlignment="1">
      <alignment horizontal="center"/>
    </xf>
    <xf numFmtId="0" fontId="8" fillId="5" borderId="1" xfId="0" applyFont="1" applyFill="1" applyBorder="1" applyAlignment="1">
      <alignment horizontal="left" wrapText="1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5" xfId="0" applyBorder="1" applyAlignment="1">
      <alignment horizontal="center"/>
    </xf>
    <xf numFmtId="0" fontId="4" fillId="0" borderId="24" xfId="0" applyFont="1" applyBorder="1" applyAlignment="1">
      <alignment horizontal="center" vertical="center"/>
    </xf>
    <xf numFmtId="0" fontId="0" fillId="0" borderId="25" xfId="0" applyBorder="1"/>
    <xf numFmtId="0" fontId="4" fillId="2" borderId="27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left" wrapText="1"/>
    </xf>
    <xf numFmtId="0" fontId="3" fillId="5" borderId="5" xfId="0" applyFont="1" applyFill="1" applyBorder="1" applyAlignment="1">
      <alignment horizontal="left" wrapText="1"/>
    </xf>
    <xf numFmtId="0" fontId="3" fillId="5" borderId="5" xfId="0" applyFont="1" applyFill="1" applyBorder="1" applyAlignment="1">
      <alignment horizontal="left"/>
    </xf>
    <xf numFmtId="0" fontId="3" fillId="5" borderId="10" xfId="0" applyFont="1" applyFill="1" applyBorder="1" applyAlignment="1">
      <alignment horizontal="left"/>
    </xf>
    <xf numFmtId="0" fontId="3" fillId="5" borderId="9" xfId="0" applyFont="1" applyFill="1" applyBorder="1" applyAlignment="1">
      <alignment horizontal="left"/>
    </xf>
    <xf numFmtId="0" fontId="3" fillId="5" borderId="3" xfId="0" applyFont="1" applyFill="1" applyBorder="1" applyAlignment="1">
      <alignment horizontal="left"/>
    </xf>
    <xf numFmtId="0" fontId="3" fillId="5" borderId="2" xfId="0" applyFont="1" applyFill="1" applyBorder="1" applyAlignment="1">
      <alignment horizontal="left"/>
    </xf>
    <xf numFmtId="0" fontId="4" fillId="5" borderId="20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/>
    </xf>
    <xf numFmtId="0" fontId="4" fillId="5" borderId="15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left"/>
    </xf>
    <xf numFmtId="0" fontId="2" fillId="4" borderId="3" xfId="0" applyFont="1" applyFill="1" applyBorder="1" applyAlignment="1">
      <alignment horizontal="left"/>
    </xf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0</xdr:rowOff>
    </xdr:from>
    <xdr:to>
      <xdr:col>9</xdr:col>
      <xdr:colOff>962025</xdr:colOff>
      <xdr:row>1</xdr:row>
      <xdr:rowOff>0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49" y="0"/>
          <a:ext cx="11134726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33618</xdr:colOff>
      <xdr:row>27</xdr:row>
      <xdr:rowOff>19050</xdr:rowOff>
    </xdr:from>
    <xdr:to>
      <xdr:col>9</xdr:col>
      <xdr:colOff>962025</xdr:colOff>
      <xdr:row>33</xdr:row>
      <xdr:rowOff>5043</xdr:rowOff>
    </xdr:to>
    <xdr:pic>
      <xdr:nvPicPr>
        <xdr:cNvPr id="5" name="Imagem 4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618" y="14658975"/>
          <a:ext cx="11120157" cy="1128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pageSetUpPr fitToPage="1"/>
  </sheetPr>
  <dimension ref="A1:XEV45"/>
  <sheetViews>
    <sheetView tabSelected="1" topLeftCell="A16" zoomScaleNormal="100" workbookViewId="0">
      <selection activeCell="J14" sqref="J14"/>
    </sheetView>
  </sheetViews>
  <sheetFormatPr defaultRowHeight="15" x14ac:dyDescent="0.25"/>
  <cols>
    <col min="1" max="1" width="5.5703125" bestFit="1" customWidth="1"/>
    <col min="2" max="2" width="13" customWidth="1"/>
    <col min="3" max="3" width="18.85546875" bestFit="1" customWidth="1"/>
    <col min="4" max="4" width="52.140625" customWidth="1"/>
    <col min="5" max="5" width="8.5703125" style="1" customWidth="1"/>
    <col min="6" max="6" width="16" style="1" customWidth="1"/>
    <col min="7" max="7" width="11.7109375" bestFit="1" customWidth="1"/>
    <col min="8" max="8" width="11.85546875" bestFit="1" customWidth="1"/>
    <col min="9" max="9" width="15.140625" bestFit="1" customWidth="1"/>
    <col min="10" max="10" width="15.42578125" bestFit="1" customWidth="1"/>
    <col min="11" max="11" width="6.28515625" customWidth="1"/>
    <col min="12" max="12" width="9.140625" customWidth="1"/>
    <col min="13" max="13" width="16.28515625" customWidth="1"/>
    <col min="14" max="14" width="15.7109375" customWidth="1"/>
    <col min="15" max="15" width="18.140625" customWidth="1"/>
  </cols>
  <sheetData>
    <row r="1" spans="1:16376" ht="141.75" customHeight="1" x14ac:dyDescent="0.25">
      <c r="A1" s="65"/>
      <c r="B1" s="66"/>
      <c r="C1" s="66"/>
      <c r="D1" s="66"/>
      <c r="E1" s="66"/>
      <c r="F1" s="66"/>
      <c r="G1" s="66"/>
      <c r="H1" s="66"/>
      <c r="I1" s="66"/>
      <c r="J1" s="67"/>
      <c r="L1" t="s">
        <v>41</v>
      </c>
      <c r="M1" s="22">
        <v>150000</v>
      </c>
      <c r="N1" t="s">
        <v>42</v>
      </c>
    </row>
    <row r="2" spans="1:16376" ht="22.5" customHeight="1" x14ac:dyDescent="0.3">
      <c r="A2" s="68" t="s">
        <v>71</v>
      </c>
      <c r="B2" s="69"/>
      <c r="C2" s="69"/>
      <c r="D2" s="70"/>
      <c r="E2" s="70"/>
      <c r="F2" s="70"/>
      <c r="G2" s="70"/>
      <c r="H2" s="70"/>
      <c r="I2" s="70"/>
      <c r="J2" s="71"/>
      <c r="M2" s="22">
        <v>60000</v>
      </c>
      <c r="N2" t="s">
        <v>43</v>
      </c>
    </row>
    <row r="3" spans="1:16376" ht="21.75" customHeight="1" x14ac:dyDescent="0.3">
      <c r="A3" s="72" t="s">
        <v>70</v>
      </c>
      <c r="B3" s="70"/>
      <c r="C3" s="70"/>
      <c r="D3" s="70"/>
      <c r="E3" s="70"/>
      <c r="F3" s="70"/>
      <c r="G3" s="70"/>
      <c r="H3" s="70"/>
      <c r="I3" s="70"/>
      <c r="J3" s="71"/>
      <c r="M3" s="22">
        <v>150000</v>
      </c>
      <c r="N3" t="s">
        <v>29</v>
      </c>
    </row>
    <row r="4" spans="1:16376" ht="21.75" customHeight="1" x14ac:dyDescent="0.3">
      <c r="A4" s="72" t="s">
        <v>12</v>
      </c>
      <c r="B4" s="70"/>
      <c r="C4" s="70"/>
      <c r="D4" s="70"/>
      <c r="E4" s="70"/>
      <c r="F4" s="70"/>
      <c r="G4" s="70"/>
      <c r="H4" s="73"/>
      <c r="I4" s="74" t="s">
        <v>69</v>
      </c>
      <c r="J4" s="71"/>
    </row>
    <row r="5" spans="1:16376" ht="44.25" customHeight="1" x14ac:dyDescent="0.25">
      <c r="A5" s="15" t="s">
        <v>0</v>
      </c>
      <c r="B5" s="16" t="s">
        <v>5</v>
      </c>
      <c r="C5" s="16" t="s">
        <v>6</v>
      </c>
      <c r="D5" s="16" t="s">
        <v>1</v>
      </c>
      <c r="E5" s="16" t="s">
        <v>2</v>
      </c>
      <c r="F5" s="17" t="s">
        <v>3</v>
      </c>
      <c r="G5" s="17" t="s">
        <v>7</v>
      </c>
      <c r="H5" s="17" t="s">
        <v>17</v>
      </c>
      <c r="I5" s="17" t="s">
        <v>8</v>
      </c>
      <c r="J5" s="18" t="s">
        <v>18</v>
      </c>
    </row>
    <row r="6" spans="1:16376" ht="24.75" customHeight="1" x14ac:dyDescent="0.25">
      <c r="A6" s="28">
        <v>1</v>
      </c>
      <c r="B6" s="20"/>
      <c r="C6" s="20"/>
      <c r="D6" s="83" t="s">
        <v>61</v>
      </c>
      <c r="E6" s="84"/>
      <c r="F6" s="21"/>
      <c r="G6" s="21"/>
      <c r="H6" s="21"/>
      <c r="I6" s="39">
        <f>SUM(I7:I13)</f>
        <v>2077042.5699999998</v>
      </c>
      <c r="J6" s="40">
        <f>SUM(J7:J13)</f>
        <v>2578387.88</v>
      </c>
    </row>
    <row r="7" spans="1:16376" s="3" customFormat="1" ht="30" x14ac:dyDescent="0.25">
      <c r="A7" s="2" t="s">
        <v>46</v>
      </c>
      <c r="B7" s="33">
        <v>83336</v>
      </c>
      <c r="C7" s="33" t="s">
        <v>72</v>
      </c>
      <c r="D7" s="12" t="s">
        <v>64</v>
      </c>
      <c r="E7" s="30" t="s">
        <v>11</v>
      </c>
      <c r="F7" s="35">
        <f>20000/2</f>
        <v>10000</v>
      </c>
      <c r="G7" s="37">
        <f>3.76</f>
        <v>3.76</v>
      </c>
      <c r="H7" s="37">
        <f>ROUND(G7*1.2423,2)</f>
        <v>4.67</v>
      </c>
      <c r="I7" s="35">
        <f>ROUND(F7*G7,2)</f>
        <v>37600</v>
      </c>
      <c r="J7" s="36">
        <f>ROUND(F7*H7,2)</f>
        <v>46700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</row>
    <row r="8" spans="1:16376" ht="47.25" x14ac:dyDescent="0.25">
      <c r="A8" s="2" t="s">
        <v>47</v>
      </c>
      <c r="B8" s="33" t="s">
        <v>24</v>
      </c>
      <c r="C8" s="33" t="s">
        <v>73</v>
      </c>
      <c r="D8" s="13" t="s">
        <v>23</v>
      </c>
      <c r="E8" s="30" t="s">
        <v>10</v>
      </c>
      <c r="F8" s="35">
        <f>(F11*0.5)/2</f>
        <v>7500</v>
      </c>
      <c r="G8" s="37">
        <f>7.78</f>
        <v>7.78</v>
      </c>
      <c r="H8" s="37">
        <f t="shared" ref="H8:H22" si="0">ROUND(G8*1.2423,2)</f>
        <v>9.67</v>
      </c>
      <c r="I8" s="35">
        <f t="shared" ref="I8:I22" si="1">ROUND(F8*G8,2)</f>
        <v>58350</v>
      </c>
      <c r="J8" s="36">
        <f t="shared" ref="J8:J22" si="2">ROUND(F8*H8,2)</f>
        <v>72525</v>
      </c>
    </row>
    <row r="9" spans="1:16376" ht="24.75" customHeight="1" x14ac:dyDescent="0.25">
      <c r="A9" s="2" t="s">
        <v>48</v>
      </c>
      <c r="B9" s="33" t="s">
        <v>30</v>
      </c>
      <c r="C9" s="33" t="s">
        <v>74</v>
      </c>
      <c r="D9" s="52" t="s">
        <v>60</v>
      </c>
      <c r="E9" s="30" t="s">
        <v>10</v>
      </c>
      <c r="F9" s="35">
        <f>M3</f>
        <v>150000</v>
      </c>
      <c r="G9" s="37">
        <f>9.18</f>
        <v>9.18</v>
      </c>
      <c r="H9" s="37">
        <f t="shared" si="0"/>
        <v>11.4</v>
      </c>
      <c r="I9" s="35">
        <f t="shared" si="1"/>
        <v>1377000</v>
      </c>
      <c r="J9" s="36">
        <f t="shared" si="2"/>
        <v>1710000</v>
      </c>
    </row>
    <row r="10" spans="1:16376" ht="24.75" customHeight="1" x14ac:dyDescent="0.25">
      <c r="A10" s="2" t="s">
        <v>49</v>
      </c>
      <c r="B10" s="33" t="s">
        <v>67</v>
      </c>
      <c r="C10" s="33" t="s">
        <v>74</v>
      </c>
      <c r="D10" s="52" t="s">
        <v>66</v>
      </c>
      <c r="E10" s="30" t="s">
        <v>10</v>
      </c>
      <c r="F10" s="35">
        <v>10000</v>
      </c>
      <c r="G10" s="37">
        <f>11.41</f>
        <v>11.41</v>
      </c>
      <c r="H10" s="37">
        <f t="shared" ref="H10" si="3">ROUND(G10*1.2423,2)</f>
        <v>14.17</v>
      </c>
      <c r="I10" s="35">
        <f t="shared" ref="I10" si="4">ROUND(F10*G10,2)</f>
        <v>114100</v>
      </c>
      <c r="J10" s="36">
        <f t="shared" ref="J10" si="5">ROUND(F10*H10,2)</f>
        <v>141700</v>
      </c>
    </row>
    <row r="11" spans="1:16376" ht="31.5" x14ac:dyDescent="0.25">
      <c r="A11" s="2" t="s">
        <v>50</v>
      </c>
      <c r="B11" s="33" t="s">
        <v>22</v>
      </c>
      <c r="C11" s="33" t="s">
        <v>74</v>
      </c>
      <c r="D11" s="13" t="s">
        <v>21</v>
      </c>
      <c r="E11" s="30" t="s">
        <v>9</v>
      </c>
      <c r="F11" s="35">
        <f>(F9/5*2)/2</f>
        <v>30000</v>
      </c>
      <c r="G11" s="37">
        <f>1.94</f>
        <v>1.94</v>
      </c>
      <c r="H11" s="37">
        <f t="shared" si="0"/>
        <v>2.41</v>
      </c>
      <c r="I11" s="35">
        <f t="shared" si="1"/>
        <v>58200</v>
      </c>
      <c r="J11" s="36">
        <f t="shared" si="2"/>
        <v>72300</v>
      </c>
    </row>
    <row r="12" spans="1:16376" ht="78.75" x14ac:dyDescent="0.25">
      <c r="A12" s="2" t="s">
        <v>51</v>
      </c>
      <c r="B12" s="33" t="s">
        <v>25</v>
      </c>
      <c r="C12" s="33" t="s">
        <v>72</v>
      </c>
      <c r="D12" s="13" t="s">
        <v>26</v>
      </c>
      <c r="E12" s="30" t="s">
        <v>11</v>
      </c>
      <c r="F12" s="35">
        <f>((F9*0.05+F8*0.09+F7)*1.3)/2</f>
        <v>11813.75</v>
      </c>
      <c r="G12" s="37">
        <f>1.45</f>
        <v>1.45</v>
      </c>
      <c r="H12" s="37">
        <f t="shared" si="0"/>
        <v>1.8</v>
      </c>
      <c r="I12" s="35">
        <f t="shared" si="1"/>
        <v>17129.939999999999</v>
      </c>
      <c r="J12" s="36">
        <f t="shared" si="2"/>
        <v>21264.75</v>
      </c>
    </row>
    <row r="13" spans="1:16376" ht="31.5" x14ac:dyDescent="0.25">
      <c r="A13" s="2" t="s">
        <v>68</v>
      </c>
      <c r="B13" s="33">
        <v>97914</v>
      </c>
      <c r="C13" s="33" t="s">
        <v>72</v>
      </c>
      <c r="D13" s="13" t="s">
        <v>27</v>
      </c>
      <c r="E13" s="30" t="s">
        <v>28</v>
      </c>
      <c r="F13" s="35">
        <f>F12*30</f>
        <v>354412.5</v>
      </c>
      <c r="G13" s="37">
        <f>1.17</f>
        <v>1.17</v>
      </c>
      <c r="H13" s="37">
        <f t="shared" si="0"/>
        <v>1.45</v>
      </c>
      <c r="I13" s="35">
        <f t="shared" si="1"/>
        <v>414662.63</v>
      </c>
      <c r="J13" s="36">
        <f t="shared" si="2"/>
        <v>513898.13</v>
      </c>
    </row>
    <row r="14" spans="1:16376" ht="24.75" customHeight="1" x14ac:dyDescent="0.25">
      <c r="A14" s="28">
        <v>2</v>
      </c>
      <c r="B14" s="31"/>
      <c r="C14" s="31"/>
      <c r="D14" s="50" t="s">
        <v>38</v>
      </c>
      <c r="E14" s="14"/>
      <c r="F14" s="19"/>
      <c r="G14" s="38"/>
      <c r="H14" s="38"/>
      <c r="I14" s="39">
        <f>SUM(I15:I22)</f>
        <v>11466973.75</v>
      </c>
      <c r="J14" s="40">
        <f>SUM(J15:J22)</f>
        <v>14244732.5</v>
      </c>
    </row>
    <row r="15" spans="1:16376" ht="63" x14ac:dyDescent="0.25">
      <c r="A15" s="29" t="s">
        <v>52</v>
      </c>
      <c r="B15" s="33" t="s">
        <v>20</v>
      </c>
      <c r="C15" s="33" t="s">
        <v>73</v>
      </c>
      <c r="D15" s="13" t="s">
        <v>19</v>
      </c>
      <c r="E15" s="30" t="s">
        <v>11</v>
      </c>
      <c r="F15" s="35">
        <f>(M2*0.5)/2</f>
        <v>15000</v>
      </c>
      <c r="G15" s="37">
        <f>10.62</f>
        <v>10.62</v>
      </c>
      <c r="H15" s="37">
        <f t="shared" si="0"/>
        <v>13.19</v>
      </c>
      <c r="I15" s="35">
        <f t="shared" si="1"/>
        <v>159300</v>
      </c>
      <c r="J15" s="36">
        <f t="shared" si="2"/>
        <v>197850</v>
      </c>
    </row>
    <row r="16" spans="1:16376" ht="47.25" x14ac:dyDescent="0.25">
      <c r="A16" s="29" t="s">
        <v>53</v>
      </c>
      <c r="B16" s="33">
        <v>96399</v>
      </c>
      <c r="C16" s="33" t="s">
        <v>72</v>
      </c>
      <c r="D16" s="13" t="s">
        <v>31</v>
      </c>
      <c r="E16" s="30" t="s">
        <v>11</v>
      </c>
      <c r="F16" s="35">
        <f>(M2*0.3)/2</f>
        <v>9000</v>
      </c>
      <c r="G16" s="37">
        <f>90.34</f>
        <v>90.34</v>
      </c>
      <c r="H16" s="37">
        <f t="shared" si="0"/>
        <v>112.23</v>
      </c>
      <c r="I16" s="35">
        <f t="shared" si="1"/>
        <v>813060</v>
      </c>
      <c r="J16" s="36">
        <f t="shared" si="2"/>
        <v>1010070</v>
      </c>
    </row>
    <row r="17" spans="1:16376" s="3" customFormat="1" ht="47.25" x14ac:dyDescent="0.25">
      <c r="A17" s="29" t="s">
        <v>54</v>
      </c>
      <c r="B17" s="34">
        <v>96396</v>
      </c>
      <c r="C17" s="33" t="s">
        <v>72</v>
      </c>
      <c r="D17" s="13" t="s">
        <v>32</v>
      </c>
      <c r="E17" s="30" t="s">
        <v>11</v>
      </c>
      <c r="F17" s="35">
        <f>(M2*0.25)/2</f>
        <v>7500</v>
      </c>
      <c r="G17" s="37">
        <f>124.77</f>
        <v>124.77</v>
      </c>
      <c r="H17" s="37">
        <f t="shared" si="0"/>
        <v>155</v>
      </c>
      <c r="I17" s="35">
        <f t="shared" si="1"/>
        <v>935775</v>
      </c>
      <c r="J17" s="36">
        <f t="shared" si="2"/>
        <v>1162500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</row>
    <row r="18" spans="1:16376" s="3" customFormat="1" ht="47.25" x14ac:dyDescent="0.25">
      <c r="A18" s="29" t="s">
        <v>55</v>
      </c>
      <c r="B18" s="34" t="s">
        <v>34</v>
      </c>
      <c r="C18" s="33" t="s">
        <v>73</v>
      </c>
      <c r="D18" s="13" t="s">
        <v>33</v>
      </c>
      <c r="E18" s="32" t="s">
        <v>10</v>
      </c>
      <c r="F18" s="35">
        <f>(M1)/2</f>
        <v>75000</v>
      </c>
      <c r="G18" s="37">
        <v>6.32</v>
      </c>
      <c r="H18" s="37">
        <f t="shared" si="0"/>
        <v>7.85</v>
      </c>
      <c r="I18" s="35">
        <f t="shared" si="1"/>
        <v>474000</v>
      </c>
      <c r="J18" s="36">
        <f t="shared" si="2"/>
        <v>588750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</row>
    <row r="19" spans="1:16376" s="3" customFormat="1" ht="51.75" customHeight="1" x14ac:dyDescent="0.25">
      <c r="A19" s="29" t="s">
        <v>56</v>
      </c>
      <c r="B19" s="34">
        <v>96402</v>
      </c>
      <c r="C19" s="33" t="s">
        <v>72</v>
      </c>
      <c r="D19" s="13" t="s">
        <v>65</v>
      </c>
      <c r="E19" s="32" t="s">
        <v>10</v>
      </c>
      <c r="F19" s="35">
        <f>(M1*2)/2</f>
        <v>150000</v>
      </c>
      <c r="G19" s="37">
        <f>1.83</f>
        <v>1.83</v>
      </c>
      <c r="H19" s="37">
        <f t="shared" si="0"/>
        <v>2.27</v>
      </c>
      <c r="I19" s="35">
        <f t="shared" si="1"/>
        <v>274500</v>
      </c>
      <c r="J19" s="36">
        <f t="shared" si="2"/>
        <v>340500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</row>
    <row r="20" spans="1:16376" s="3" customFormat="1" ht="71.25" customHeight="1" x14ac:dyDescent="0.25">
      <c r="A20" s="43" t="s">
        <v>57</v>
      </c>
      <c r="B20" s="44" t="s">
        <v>62</v>
      </c>
      <c r="C20" s="33" t="s">
        <v>74</v>
      </c>
      <c r="D20" s="45" t="s">
        <v>63</v>
      </c>
      <c r="E20" s="46" t="s">
        <v>35</v>
      </c>
      <c r="F20" s="35">
        <f>(M1*0.05*2.5)/2</f>
        <v>9375</v>
      </c>
      <c r="G20" s="37">
        <f>391.47</f>
        <v>391.47</v>
      </c>
      <c r="H20" s="47">
        <f t="shared" si="0"/>
        <v>486.32</v>
      </c>
      <c r="I20" s="48">
        <f t="shared" si="1"/>
        <v>3670031.25</v>
      </c>
      <c r="J20" s="49">
        <f t="shared" si="2"/>
        <v>4559250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</row>
    <row r="21" spans="1:16376" s="3" customFormat="1" ht="57" customHeight="1" x14ac:dyDescent="0.25">
      <c r="A21" s="43" t="s">
        <v>58</v>
      </c>
      <c r="B21" s="44" t="s">
        <v>37</v>
      </c>
      <c r="C21" s="33" t="s">
        <v>74</v>
      </c>
      <c r="D21" s="45" t="s">
        <v>36</v>
      </c>
      <c r="E21" s="46" t="s">
        <v>35</v>
      </c>
      <c r="F21" s="35">
        <f>(M1*0.06*2.5)/2</f>
        <v>11250</v>
      </c>
      <c r="G21" s="37">
        <f>433.59</f>
        <v>433.59</v>
      </c>
      <c r="H21" s="47">
        <f t="shared" si="0"/>
        <v>538.65</v>
      </c>
      <c r="I21" s="48">
        <f t="shared" si="1"/>
        <v>4877887.5</v>
      </c>
      <c r="J21" s="49">
        <f t="shared" si="2"/>
        <v>6059812.5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</row>
    <row r="22" spans="1:16376" s="3" customFormat="1" ht="66" customHeight="1" x14ac:dyDescent="0.25">
      <c r="A22" s="29" t="s">
        <v>59</v>
      </c>
      <c r="B22" s="34" t="s">
        <v>44</v>
      </c>
      <c r="C22" s="33" t="s">
        <v>73</v>
      </c>
      <c r="D22" s="13" t="s">
        <v>45</v>
      </c>
      <c r="E22" s="32" t="s">
        <v>11</v>
      </c>
      <c r="F22" s="35">
        <v>1000</v>
      </c>
      <c r="G22" s="37">
        <v>262.42</v>
      </c>
      <c r="H22" s="37">
        <f t="shared" si="0"/>
        <v>326</v>
      </c>
      <c r="I22" s="35">
        <f t="shared" si="1"/>
        <v>262420</v>
      </c>
      <c r="J22" s="36">
        <f t="shared" si="2"/>
        <v>326000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</row>
    <row r="23" spans="1:16376" ht="32.25" customHeight="1" thickBot="1" x14ac:dyDescent="0.3">
      <c r="A23" s="62" t="s">
        <v>13</v>
      </c>
      <c r="B23" s="63"/>
      <c r="C23" s="63"/>
      <c r="D23" s="63"/>
      <c r="E23" s="63"/>
      <c r="F23" s="63"/>
      <c r="G23" s="64" t="s">
        <v>4</v>
      </c>
      <c r="H23" s="64"/>
      <c r="I23" s="41">
        <f>I6+I14</f>
        <v>13544016.32</v>
      </c>
      <c r="J23" s="42">
        <f>J6+J14</f>
        <v>16823120.379999999</v>
      </c>
    </row>
    <row r="24" spans="1:16376" ht="38.25" customHeight="1" thickBot="1" x14ac:dyDescent="0.3">
      <c r="A24" s="4"/>
      <c r="B24" s="51"/>
      <c r="C24" s="5"/>
      <c r="D24" s="5"/>
      <c r="E24" s="5"/>
      <c r="F24" s="9"/>
      <c r="G24" s="10"/>
      <c r="H24" s="10"/>
      <c r="I24" s="11"/>
      <c r="J24" s="8"/>
    </row>
    <row r="25" spans="1:16376" ht="21.75" customHeight="1" x14ac:dyDescent="0.25">
      <c r="A25" s="75"/>
      <c r="B25" s="76"/>
      <c r="C25" s="76"/>
      <c r="D25" s="76"/>
      <c r="E25" s="76" t="s">
        <v>14</v>
      </c>
      <c r="F25" s="76"/>
      <c r="G25" s="76"/>
      <c r="H25" s="76"/>
      <c r="I25" s="76"/>
      <c r="J25" s="77"/>
    </row>
    <row r="26" spans="1:16376" ht="25.5" customHeight="1" x14ac:dyDescent="0.25">
      <c r="A26" s="78"/>
      <c r="B26" s="79"/>
      <c r="C26" s="79"/>
      <c r="D26" s="79"/>
      <c r="E26" s="79" t="s">
        <v>15</v>
      </c>
      <c r="F26" s="79"/>
      <c r="G26" s="79"/>
      <c r="H26" s="79"/>
      <c r="I26" s="79"/>
      <c r="J26" s="80"/>
    </row>
    <row r="27" spans="1:16376" ht="12" customHeight="1" thickBot="1" x14ac:dyDescent="0.3">
      <c r="A27" s="6"/>
      <c r="B27" s="7"/>
      <c r="C27" s="7"/>
      <c r="D27" s="7"/>
      <c r="E27" s="81" t="s">
        <v>16</v>
      </c>
      <c r="F27" s="81"/>
      <c r="G27" s="81"/>
      <c r="H27" s="81"/>
      <c r="I27" s="81"/>
      <c r="J27" s="82"/>
    </row>
    <row r="28" spans="1:16376" x14ac:dyDescent="0.25">
      <c r="A28" s="53"/>
      <c r="B28" s="54"/>
      <c r="C28" s="54"/>
      <c r="D28" s="54"/>
      <c r="E28" s="54"/>
      <c r="F28" s="54"/>
      <c r="G28" s="54"/>
      <c r="H28" s="54"/>
      <c r="I28" s="54"/>
      <c r="J28" s="55"/>
    </row>
    <row r="29" spans="1:16376" x14ac:dyDescent="0.25">
      <c r="A29" s="56"/>
      <c r="B29" s="57"/>
      <c r="C29" s="57"/>
      <c r="D29" s="57"/>
      <c r="E29" s="57"/>
      <c r="F29" s="57"/>
      <c r="G29" s="57"/>
      <c r="H29" s="57"/>
      <c r="I29" s="57"/>
      <c r="J29" s="58"/>
    </row>
    <row r="30" spans="1:16376" x14ac:dyDescent="0.25">
      <c r="A30" s="56"/>
      <c r="B30" s="57"/>
      <c r="C30" s="57"/>
      <c r="D30" s="57"/>
      <c r="E30" s="57"/>
      <c r="F30" s="57"/>
      <c r="G30" s="57"/>
      <c r="H30" s="57"/>
      <c r="I30" s="57"/>
      <c r="J30" s="58"/>
    </row>
    <row r="31" spans="1:16376" x14ac:dyDescent="0.25">
      <c r="A31" s="56"/>
      <c r="B31" s="57"/>
      <c r="C31" s="57"/>
      <c r="D31" s="57"/>
      <c r="E31" s="57"/>
      <c r="F31" s="57"/>
      <c r="G31" s="57"/>
      <c r="H31" s="57"/>
      <c r="I31" s="57"/>
      <c r="J31" s="58"/>
    </row>
    <row r="32" spans="1:16376" x14ac:dyDescent="0.25">
      <c r="A32" s="56"/>
      <c r="B32" s="57"/>
      <c r="C32" s="57"/>
      <c r="D32" s="57"/>
      <c r="E32" s="57"/>
      <c r="F32" s="57"/>
      <c r="G32" s="57"/>
      <c r="H32" s="57"/>
      <c r="I32" s="57"/>
      <c r="J32" s="58"/>
    </row>
    <row r="33" spans="1:10" x14ac:dyDescent="0.25">
      <c r="A33" s="56"/>
      <c r="B33" s="57"/>
      <c r="C33" s="57"/>
      <c r="D33" s="57"/>
      <c r="E33" s="57"/>
      <c r="F33" s="57"/>
      <c r="G33" s="57"/>
      <c r="H33" s="57"/>
      <c r="I33" s="57"/>
      <c r="J33" s="58"/>
    </row>
    <row r="34" spans="1:10" ht="1.5" customHeight="1" thickBot="1" x14ac:dyDescent="0.3">
      <c r="A34" s="59"/>
      <c r="B34" s="60"/>
      <c r="C34" s="60"/>
      <c r="D34" s="60"/>
      <c r="E34" s="60"/>
      <c r="F34" s="60"/>
      <c r="G34" s="60"/>
      <c r="H34" s="60"/>
      <c r="I34" s="60"/>
      <c r="J34" s="61"/>
    </row>
    <row r="37" spans="1:10" x14ac:dyDescent="0.25">
      <c r="D37" s="23"/>
      <c r="E37" s="24"/>
      <c r="F37" s="25">
        <v>150000</v>
      </c>
      <c r="G37" s="26"/>
      <c r="H37" s="23" t="s">
        <v>39</v>
      </c>
      <c r="I37" s="23"/>
    </row>
    <row r="38" spans="1:10" x14ac:dyDescent="0.25">
      <c r="D38" s="23"/>
      <c r="E38" s="24"/>
      <c r="F38" s="24"/>
      <c r="G38" s="27" t="e">
        <f>#REF!/24</f>
        <v>#REF!</v>
      </c>
      <c r="H38" s="23"/>
      <c r="I38" s="23"/>
    </row>
    <row r="39" spans="1:10" x14ac:dyDescent="0.25">
      <c r="D39" s="23"/>
      <c r="E39" s="24" t="s">
        <v>40</v>
      </c>
      <c r="F39" s="24">
        <v>500</v>
      </c>
      <c r="G39" s="23"/>
      <c r="H39" s="23"/>
      <c r="I39" s="23"/>
    </row>
    <row r="40" spans="1:10" x14ac:dyDescent="0.25">
      <c r="D40" s="23"/>
      <c r="E40" s="24"/>
      <c r="F40" s="24"/>
      <c r="G40" s="23"/>
      <c r="H40" s="23"/>
      <c r="I40" s="23"/>
    </row>
    <row r="41" spans="1:10" x14ac:dyDescent="0.25">
      <c r="D41" s="23"/>
      <c r="E41" s="24"/>
      <c r="F41" s="24"/>
      <c r="G41" s="23"/>
      <c r="H41" s="23"/>
      <c r="I41" s="23"/>
    </row>
    <row r="42" spans="1:10" x14ac:dyDescent="0.25">
      <c r="D42" s="23"/>
      <c r="E42" s="24"/>
      <c r="F42" s="24"/>
      <c r="G42" s="23"/>
      <c r="H42" s="23"/>
      <c r="I42" s="23"/>
    </row>
    <row r="43" spans="1:10" x14ac:dyDescent="0.25">
      <c r="D43" s="23"/>
      <c r="E43" s="24"/>
      <c r="F43" s="24"/>
      <c r="G43" s="23"/>
      <c r="H43" s="23"/>
      <c r="I43" s="23"/>
    </row>
    <row r="44" spans="1:10" x14ac:dyDescent="0.25">
      <c r="D44" s="23"/>
      <c r="E44" s="24"/>
      <c r="F44" s="24"/>
      <c r="G44" s="23"/>
      <c r="H44" s="23"/>
      <c r="I44" s="23"/>
    </row>
    <row r="45" spans="1:10" x14ac:dyDescent="0.25">
      <c r="D45" s="23"/>
      <c r="E45" s="24"/>
      <c r="F45" s="24"/>
      <c r="G45" s="23"/>
      <c r="H45" s="23"/>
      <c r="I45" s="23"/>
    </row>
  </sheetData>
  <mergeCells count="14">
    <mergeCell ref="A28:J34"/>
    <mergeCell ref="A23:F23"/>
    <mergeCell ref="G23:H23"/>
    <mergeCell ref="A1:J1"/>
    <mergeCell ref="A2:J2"/>
    <mergeCell ref="A3:J3"/>
    <mergeCell ref="A4:H4"/>
    <mergeCell ref="I4:J4"/>
    <mergeCell ref="A25:D25"/>
    <mergeCell ref="E25:J25"/>
    <mergeCell ref="A26:D26"/>
    <mergeCell ref="E26:J26"/>
    <mergeCell ref="E27:J27"/>
    <mergeCell ref="D6:E6"/>
  </mergeCells>
  <pageMargins left="0.51181102362204722" right="0.51181102362204722" top="0.78740157480314965" bottom="0.78740157480314965" header="0.31496062992125984" footer="0.31496062992125984"/>
  <pageSetup paperSize="9" scale="4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E5:E9"/>
  <sheetViews>
    <sheetView workbookViewId="0">
      <selection activeCell="E21" sqref="E21"/>
    </sheetView>
  </sheetViews>
  <sheetFormatPr defaultRowHeight="15" x14ac:dyDescent="0.25"/>
  <sheetData>
    <row r="5" spans="5:5" x14ac:dyDescent="0.25">
      <c r="E5">
        <f>14.5*2.8*2</f>
        <v>81.199999999999989</v>
      </c>
    </row>
    <row r="6" spans="5:5" x14ac:dyDescent="0.25">
      <c r="E6">
        <f>5*2.8*2</f>
        <v>28</v>
      </c>
    </row>
    <row r="7" spans="5:5" x14ac:dyDescent="0.25">
      <c r="E7">
        <f>5.5*2.8*6</f>
        <v>92.399999999999991</v>
      </c>
    </row>
    <row r="8" spans="5:5" x14ac:dyDescent="0.25">
      <c r="E8">
        <f>4*2.8*4</f>
        <v>44.8</v>
      </c>
    </row>
    <row r="9" spans="5:5" x14ac:dyDescent="0.25">
      <c r="E9">
        <f>2*2.8*4</f>
        <v>22.4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RECAP 2020 - Parte II</vt:lpstr>
      <vt:lpstr>Plan2</vt:lpstr>
      <vt:lpstr>'RECAP 2020 - Parte II'!Area_de_impressao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DANIELA LUIZA ZANATTA</cp:lastModifiedBy>
  <cp:lastPrinted>2020-02-13T17:56:56Z</cp:lastPrinted>
  <dcterms:created xsi:type="dcterms:W3CDTF">2014-08-19T17:25:34Z</dcterms:created>
  <dcterms:modified xsi:type="dcterms:W3CDTF">2020-03-30T17:08:07Z</dcterms:modified>
</cp:coreProperties>
</file>